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G3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<sst xmlns="http://schemas.openxmlformats.org/spreadsheetml/2006/main" count="139" uniqueCount="94">
  <si>
    <t>Remanente de tesorería abreviado</t>
  </si>
  <si>
    <t>Valor</t>
  </si>
  <si>
    <t>Variación</t>
  </si>
  <si>
    <t>+</t>
  </si>
  <si>
    <t xml:space="preserve"> Deudores pendientes de cobro</t>
  </si>
  <si>
    <t>Del presupuesto corriente</t>
  </si>
  <si>
    <t>De presupuestos cerrados</t>
  </si>
  <si>
    <t>De otras operaciones no presupuestarias</t>
  </si>
  <si>
    <t>-</t>
  </si>
  <si>
    <t xml:space="preserve"> Acreedores pendientes de pago</t>
  </si>
  <si>
    <t>Partidas pendientes de aplicación</t>
  </si>
  <si>
    <t>Ingresos realizados pendientes de aplicación definitiva</t>
  </si>
  <si>
    <t>Pagos realizados pendientes de aplicación definitiva</t>
  </si>
  <si>
    <t xml:space="preserve"> Fondos líquidos de Tesorería</t>
  </si>
  <si>
    <t>=</t>
  </si>
  <si>
    <t>REMANENTE DE TESORERÍA</t>
  </si>
  <si>
    <t>Saldo de dudoso cobro</t>
  </si>
  <si>
    <t>Exceso de financiación afectada</t>
  </si>
  <si>
    <t>REMANENTE PARA GASTOS GENERALES</t>
  </si>
  <si>
    <t>Saldo de obligaciones pendientes de aplicar al presupuesto a 31 de diciembre</t>
  </si>
  <si>
    <t>Saldo de obligaciones por devolución de ingresos pendientes de aplicar al presupuesto a 31 de diciembre</t>
  </si>
  <si>
    <t>REMANENTE DE TESORERÍA PARA GASTOS GENERALES AJUSTADO</t>
  </si>
  <si>
    <t>% Sobre ingresos corrientes</t>
  </si>
  <si>
    <t>REMANENTE DE TESORERÍA PARA GASTOS GENERALES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</si>
  <si>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</si>
  <si>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</si>
  <si>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</si>
  <si>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</si>
  <si>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</si>
  <si>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</si>
  <si>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</si>
  <si>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</si>
  <si>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Indicador del estado de tesorería del municipio. Si arroja valores positivos es un indicador para afrontar los compromisos del Ayuntamiento.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</si>
  <si>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</si>
  <si>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</si>
  <si>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</si>
  <si>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</si>
  <si>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</si>
  <si>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</si>
  <si>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</si>
  <si>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</si>
  <si>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</si>
  <si>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</si>
  <si>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</si>
  <si>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</si>
  <si>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</si>
  <si>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</si>
  <si>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</si>
  <si>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</si>
  <si>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</si>
  <si>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</si>
  <si>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</si>
  <si>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</si>
  <si>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</si>
  <si>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</si>
  <si>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</si>
  <si>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</si>
  <si>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</si>
  <si>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</si>
  <si>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</si>
  <si>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</si>
  <si>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</si>
  <si>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</si>
  <si>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</si>
  <si>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</si>
  <si>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</si>
  <si>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</si>
  <si>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</si>
  <si>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</si>
  <si>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</si>
  <si>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</si>
  <si>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</si>
  <si>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</si>
  <si>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</si>
  <si>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</si>
  <si>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</si>
  <si>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</si>
  <si>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</si>
  <si>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</si>
  <si>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</si>
  <si>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</si>
  <si>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</si>
  <si>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</si>
  <si>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Acreedores pendientes de pago</t>
  </si>
  <si>
    <t>Fondos líquidos de Tesorería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</si>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</sst>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fonts count="2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1"/>
      <name val="Calibri Light"/>
      <family val="2"/>
      <scheme val="maj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8000264167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40006232262"/>
      <name val="Calibri"/>
      <family val="2"/>
      <scheme val="minor"/>
    </font>
    <font>
      <sz val="11"/>
      <color theme="9" tint="-0.249840006232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999133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480000138283"/>
        <bgColor indexed="64"/>
      </patternFill>
    </fill>
    <fill>
      <patternFill patternType="solid">
        <fgColor theme="0" tint="-0.0494699999690056"/>
        <bgColor indexed="64"/>
      </patternFill>
    </fill>
    <fill>
      <patternFill patternType="solid">
        <fgColor theme="0" tint="-0.249459996819496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1" applyNumberFormat="0" applyAlignment="0" applyProtection="0"/>
    <xf numFmtId="0" fontId="8" fillId="7" borderId="2" applyNumberFormat="0" applyFont="0" applyAlignment="0" applyProtection="0"/>
    <xf numFmtId="0" fontId="15" fillId="6" borderId="3" applyNumberFormat="0" applyAlignment="0" applyProtection="0"/>
    <xf numFmtId="0" fontId="12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 applyFont="1"/>
    <xf numFmtId="0" fontId="18" fillId="9" borderId="4" xfId="20" applyFill="1" applyBorder="1" applyAlignment="1">
      <alignment horizontal="center" vertical="center"/>
    </xf>
    <xf numFmtId="0" fontId="18" fillId="9" borderId="5" xfId="20" applyFill="1" applyBorder="1" applyAlignment="1">
      <alignment horizontal="center" vertical="center"/>
    </xf>
    <xf numFmtId="0" fontId="18" fillId="9" borderId="6" xfId="20" applyFill="1" applyBorder="1" applyAlignment="1">
      <alignment horizontal="center" vertical="center"/>
    </xf>
    <xf numFmtId="0" fontId="18" fillId="9" borderId="7" xfId="20" applyFill="1" applyBorder="1" applyAlignment="1">
      <alignment horizontal="center"/>
    </xf>
    <xf numFmtId="0" fontId="18" fillId="9" borderId="8" xfId="20" applyFill="1" applyBorder="1" applyAlignment="1">
      <alignment horizontal="center"/>
    </xf>
    <xf numFmtId="0" fontId="18" fillId="3" borderId="7" xfId="21" applyBorder="1" applyAlignment="1">
      <alignment horizontal="center"/>
    </xf>
    <xf numFmtId="0" fontId="18" fillId="3" borderId="8" xfId="21" applyBorder="1" applyAlignment="1">
      <alignment horizontal="center"/>
    </xf>
    <xf numFmtId="0" fontId="18" fillId="4" borderId="7" xfId="22" applyBorder="1" applyAlignment="1">
      <alignment horizontal="center"/>
    </xf>
    <xf numFmtId="0" fontId="18" fillId="4" borderId="8" xfId="22" applyBorder="1" applyAlignment="1">
      <alignment horizontal="center"/>
    </xf>
    <xf numFmtId="0" fontId="18" fillId="10" borderId="7" xfId="23" applyFill="1" applyBorder="1" applyAlignment="1">
      <alignment horizontal="center"/>
    </xf>
    <xf numFmtId="0" fontId="18" fillId="10" borderId="8" xfId="23" applyFill="1" applyBorder="1" applyAlignment="1">
      <alignment horizontal="center"/>
    </xf>
    <xf numFmtId="0" fontId="18" fillId="9" borderId="9" xfId="20" applyFill="1" applyBorder="1" applyAlignment="1">
      <alignment horizontal="center" vertical="center"/>
    </xf>
    <xf numFmtId="0" fontId="18" fillId="9" borderId="10" xfId="20" applyFill="1" applyBorder="1" applyAlignment="1">
      <alignment horizontal="center" vertical="center"/>
    </xf>
    <xf numFmtId="0" fontId="8" fillId="0" borderId="0" xfId="0" applyFont="1" applyBorder="1"/>
    <xf numFmtId="0" fontId="8" fillId="0" borderId="11" xfId="0" applyFont="1" applyBorder="1"/>
    <xf numFmtId="0" fontId="18" fillId="9" borderId="12" xfId="20" applyFill="1" applyBorder="1" applyAlignment="1">
      <alignment horizontal="center" vertical="center"/>
    </xf>
    <xf numFmtId="0" fontId="13" fillId="6" borderId="13" xfId="24" applyFont="1" applyBorder="1"/>
    <xf numFmtId="0" fontId="13" fillId="6" borderId="14" xfId="24" applyFont="1" applyBorder="1"/>
    <xf numFmtId="0" fontId="16" fillId="7" borderId="15" xfId="25" applyFont="1" applyBorder="1"/>
    <xf numFmtId="0" fontId="14" fillId="6" borderId="16" xfId="26" applyFont="1" applyBorder="1"/>
    <xf numFmtId="0" fontId="14" fillId="6" borderId="17" xfId="26" applyFont="1" applyBorder="1"/>
    <xf numFmtId="3" fontId="14" fillId="6" borderId="18" xfId="26" applyNumberFormat="1" applyFont="1" applyBorder="1"/>
    <xf numFmtId="3" fontId="14" fillId="6" borderId="19" xfId="26" applyNumberFormat="1" applyFont="1" applyBorder="1"/>
    <xf numFmtId="3" fontId="14" fillId="6" borderId="20" xfId="26" applyNumberFormat="1" applyFont="1" applyBorder="1"/>
    <xf numFmtId="0" fontId="13" fillId="6" borderId="21" xfId="24" applyFont="1" applyBorder="1"/>
    <xf numFmtId="0" fontId="13" fillId="6" borderId="22" xfId="24" applyFont="1" applyBorder="1"/>
    <xf numFmtId="0" fontId="14" fillId="6" borderId="23" xfId="26" applyFont="1" applyBorder="1"/>
    <xf numFmtId="3" fontId="14" fillId="6" borderId="24" xfId="26" applyNumberFormat="1" applyFont="1" applyBorder="1"/>
    <xf numFmtId="3" fontId="14" fillId="6" borderId="25" xfId="26" applyNumberFormat="1" applyFont="1" applyBorder="1"/>
    <xf numFmtId="3" fontId="14" fillId="6" borderId="26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/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3" fillId="6" borderId="30" xfId="24" applyFont="1" applyBorder="1"/>
    <xf numFmtId="0" fontId="13" fillId="6" borderId="31" xfId="24" applyFont="1" applyBorder="1"/>
    <xf numFmtId="14" fontId="13" fillId="6" borderId="30" xfId="24" applyNumberFormat="1" applyFont="1" applyBorder="1"/>
    <xf numFmtId="0" fontId="13" fillId="6" borderId="32" xfId="24" applyFont="1" applyBorder="1"/>
    <xf numFmtId="0" fontId="13" fillId="6" borderId="33" xfId="24" applyFont="1" applyBorder="1"/>
    <xf numFmtId="0" fontId="13" fillId="6" borderId="34" xfId="24" applyFont="1" applyBorder="1"/>
    <xf numFmtId="0" fontId="11" fillId="6" borderId="35" xfId="26" applyFont="1" applyBorder="1"/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8" fillId="0" borderId="0" xfId="0" applyFont="1"/>
    <xf numFmtId="4" fontId="12" fillId="8" borderId="28" xfId="27" applyNumberFormat="1" applyFont="1" applyBorder="1"/>
    <xf numFmtId="4" fontId="12" fillId="8" borderId="3" xfId="27" applyNumberFormat="1" applyFont="1" applyBorder="1"/>
    <xf numFmtId="4" fontId="12" fillId="8" borderId="29" xfId="27" applyNumberFormat="1" applyFont="1" applyBorder="1"/>
    <xf numFmtId="0" fontId="11" fillId="6" borderId="36" xfId="26" applyFont="1" applyBorder="1"/>
    <xf numFmtId="0" fontId="10" fillId="6" borderId="36" xfId="26" applyFont="1" applyBorder="1"/>
    <xf numFmtId="4" fontId="10" fillId="6" borderId="37" xfId="26" applyNumberFormat="1" applyFont="1" applyBorder="1"/>
    <xf numFmtId="4" fontId="10" fillId="6" borderId="38" xfId="26" applyNumberFormat="1" applyFont="1" applyBorder="1"/>
    <xf numFmtId="4" fontId="10" fillId="6" borderId="39" xfId="26" applyNumberFormat="1" applyFont="1" applyBorder="1"/>
    <xf numFmtId="0" fontId="9" fillId="6" borderId="16" xfId="26" applyFont="1" applyBorder="1"/>
    <xf numFmtId="0" fontId="9" fillId="6" borderId="17" xfId="26" applyFont="1" applyBorder="1"/>
    <xf numFmtId="4" fontId="9" fillId="6" borderId="18" xfId="26" applyNumberFormat="1" applyFont="1" applyBorder="1"/>
    <xf numFmtId="4" fontId="9" fillId="6" borderId="19" xfId="26" applyNumberFormat="1" applyFont="1" applyBorder="1"/>
    <xf numFmtId="4" fontId="9" fillId="6" borderId="20" xfId="26" applyNumberFormat="1" applyFont="1" applyBorder="1"/>
    <xf numFmtId="0" fontId="9" fillId="6" borderId="27" xfId="26" applyFont="1" applyBorder="1" applyAlignment="1">
      <alignment horizontal="left" indent="1"/>
    </xf>
    <xf numFmtId="4" fontId="9" fillId="6" borderId="28" xfId="26" applyNumberFormat="1" applyFont="1" applyBorder="1"/>
    <xf numFmtId="4" fontId="9" fillId="6" borderId="3" xfId="26" applyNumberFormat="1" applyFont="1"/>
    <xf numFmtId="4" fontId="9" fillId="6" borderId="29" xfId="26" applyNumberFormat="1" applyFont="1" applyBorder="1"/>
    <xf numFmtId="0" fontId="9" fillId="6" borderId="27" xfId="26" applyFont="1" applyBorder="1"/>
    <xf numFmtId="0" fontId="9" fillId="6" borderId="27" xfId="26" applyFont="1" applyBorder="1" applyAlignment="1">
      <alignment wrapText="1"/>
    </xf>
    <xf numFmtId="0" fontId="9" fillId="6" borderId="23" xfId="26" applyFont="1" applyBorder="1"/>
    <xf numFmtId="4" fontId="9" fillId="6" borderId="24" xfId="26" applyNumberFormat="1" applyFont="1" applyBorder="1"/>
    <xf numFmtId="4" fontId="9" fillId="6" borderId="25" xfId="26" applyNumberFormat="1" applyFont="1" applyBorder="1"/>
    <xf numFmtId="4" fontId="9" fillId="6" borderId="26" xfId="26" applyNumberFormat="1" applyFont="1" applyBorder="1"/>
    <xf numFmtId="0" fontId="8" fillId="0" borderId="40" xfId="0" applyFont="1" applyBorder="1"/>
    <xf numFmtId="49" fontId="0" fillId="0" borderId="0" xfId="0" applyNumberFormat="1" applyFont="1"/>
    <xf numFmtId="0" fontId="5" fillId="11" borderId="41" xfId="0" applyFont="1" applyFill="1" applyBorder="1"/>
    <xf numFmtId="0" fontId="6" fillId="12" borderId="41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/>
    </xf>
    <xf numFmtId="0" fontId="6" fillId="12" borderId="43" xfId="0" applyFont="1" applyFill="1" applyBorder="1" applyAlignment="1">
      <alignment horizontal="center" vertical="center"/>
    </xf>
    <xf numFmtId="0" fontId="6" fillId="12" borderId="44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vertical="center"/>
    </xf>
    <xf numFmtId="0" fontId="6" fillId="12" borderId="44" xfId="0" applyFont="1" applyFill="1" applyBorder="1" applyAlignment="1">
      <alignment vertical="center"/>
    </xf>
    <xf numFmtId="0" fontId="4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vertical="center"/>
    </xf>
    <xf numFmtId="0" fontId="7" fillId="13" borderId="44" xfId="0" applyFont="1" applyFill="1" applyBorder="1" applyAlignment="1">
      <alignment vertical="center"/>
    </xf>
    <xf numFmtId="4" fontId="4" fillId="13" borderId="41" xfId="28" applyNumberFormat="1" applyFont="1" applyFill="1" applyBorder="1" applyAlignment="1" applyProtection="1">
      <alignment horizontal="center" vertical="center"/>
      <protection/>
    </xf>
    <xf numFmtId="9" fontId="4" fillId="13" borderId="41" xfId="28" applyNumberFormat="1" applyFont="1" applyFill="1" applyBorder="1" applyAlignment="1" applyProtection="1">
      <alignment horizontal="center" vertical="center"/>
      <protection/>
    </xf>
    <xf numFmtId="9" fontId="4" fillId="13" borderId="41" xfId="28" applyFont="1" applyFill="1" applyBorder="1" applyAlignment="1" applyProtection="1">
      <alignment horizontal="center" vertical="center"/>
      <protection/>
    </xf>
    <xf numFmtId="0" fontId="5" fillId="0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4" fontId="4" fillId="11" borderId="41" xfId="0" applyNumberFormat="1" applyFont="1" applyFill="1" applyBorder="1" applyAlignment="1">
      <alignment horizontal="center" vertical="center"/>
    </xf>
    <xf numFmtId="4" fontId="4" fillId="14" borderId="41" xfId="0" applyNumberFormat="1" applyFont="1" applyFill="1" applyBorder="1" applyAlignment="1">
      <alignment horizontal="center" vertical="center"/>
    </xf>
    <xf numFmtId="9" fontId="4" fillId="14" borderId="41" xfId="28" applyFont="1" applyFill="1" applyBorder="1" applyAlignment="1" applyProtection="1">
      <alignment horizontal="center" vertical="center"/>
      <protection/>
    </xf>
    <xf numFmtId="0" fontId="4" fillId="15" borderId="42" xfId="0" applyFont="1" applyFill="1" applyBorder="1" applyAlignment="1">
      <alignment vertical="center"/>
    </xf>
    <xf numFmtId="0" fontId="4" fillId="15" borderId="44" xfId="0" applyFont="1" applyFill="1" applyBorder="1" applyAlignment="1">
      <alignment vertical="center"/>
    </xf>
    <xf numFmtId="4" fontId="4" fillId="15" borderId="41" xfId="0" applyNumberFormat="1" applyFont="1" applyFill="1" applyBorder="1" applyAlignment="1">
      <alignment horizontal="center" vertical="center"/>
    </xf>
    <xf numFmtId="9" fontId="4" fillId="15" borderId="41" xfId="28" applyFont="1" applyFill="1" applyBorder="1" applyAlignment="1" applyProtection="1">
      <alignment horizontal="center" vertical="center"/>
      <protection/>
    </xf>
    <xf numFmtId="0" fontId="7" fillId="0" borderId="42" xfId="0" applyFont="1" applyBorder="1" applyAlignment="1">
      <alignment vertical="center"/>
    </xf>
    <xf numFmtId="4" fontId="6" fillId="12" borderId="41" xfId="0" applyNumberFormat="1" applyFont="1" applyFill="1" applyBorder="1" applyAlignment="1">
      <alignment horizontal="center" vertical="center"/>
    </xf>
    <xf numFmtId="9" fontId="6" fillId="12" borderId="41" xfId="28" applyFont="1" applyFill="1" applyBorder="1" applyAlignment="1" applyProtection="1">
      <alignment horizontal="center" vertical="center"/>
      <protection/>
    </xf>
    <xf numFmtId="0" fontId="7" fillId="0" borderId="42" xfId="0" applyFont="1" applyBorder="1" applyAlignment="1">
      <alignment vertical="center" wrapText="1"/>
    </xf>
    <xf numFmtId="0" fontId="6" fillId="13" borderId="41" xfId="0" applyFont="1" applyFill="1" applyBorder="1" applyAlignment="1">
      <alignment horizontal="center" vertical="center"/>
    </xf>
    <xf numFmtId="0" fontId="6" fillId="15" borderId="42" xfId="0" applyFont="1" applyFill="1" applyBorder="1" applyAlignment="1">
      <alignment vertical="center"/>
    </xf>
    <xf numFmtId="0" fontId="6" fillId="15" borderId="44" xfId="0" applyFont="1" applyFill="1" applyBorder="1" applyAlignment="1">
      <alignment vertical="center"/>
    </xf>
    <xf numFmtId="4" fontId="6" fillId="15" borderId="41" xfId="0" applyNumberFormat="1" applyFont="1" applyFill="1" applyBorder="1" applyAlignment="1">
      <alignment horizontal="center" vertical="center"/>
    </xf>
    <xf numFmtId="9" fontId="6" fillId="15" borderId="41" xfId="28" applyFont="1" applyFill="1" applyBorder="1" applyAlignment="1" applyProtection="1">
      <alignment horizontal="center" vertical="center"/>
      <protection/>
    </xf>
    <xf numFmtId="0" fontId="5" fillId="16" borderId="41" xfId="0" applyFont="1" applyFill="1" applyBorder="1"/>
    <xf numFmtId="0" fontId="5" fillId="13" borderId="42" xfId="0" applyFont="1" applyFill="1" applyBorder="1" applyAlignment="1">
      <alignment vertical="center"/>
    </xf>
    <xf numFmtId="0" fontId="5" fillId="13" borderId="44" xfId="0" applyFont="1" applyFill="1" applyBorder="1" applyAlignment="1">
      <alignment vertical="center"/>
    </xf>
    <xf numFmtId="10" fontId="4" fillId="13" borderId="4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3" fillId="0" borderId="45" xfId="0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22" fillId="0" borderId="46" xfId="0" applyFont="1" applyBorder="1" applyAlignment="1">
      <alignment/>
    </xf>
    <xf numFmtId="0" fontId="21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 wrapText="1"/>
    </xf>
    <xf numFmtId="0" fontId="20" fillId="0" borderId="47" xfId="0" applyFont="1" applyBorder="1" applyAlignment="1">
      <alignment wrapText="1"/>
    </xf>
    <xf numFmtId="0" fontId="19" fillId="0" borderId="45" xfId="0" applyFont="1" applyBorder="1" applyAlignment="1">
      <alignment/>
    </xf>
    <xf numFmtId="0" fontId="1" fillId="0" borderId="47" xfId="0" applyFont="1" applyBorder="1"/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Porcentaje" xfId="2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388"/>
            </a:solidFill>
          </c:spPr>
          <c:invertIfNegative val="0"/>
          <c:dPt>
            <c:idx val="0"/>
            <c:invertIfNegative val="0"/>
            <c:spPr>
              <a:solidFill>
                <a:srgbClr val="00B388"/>
              </a:solidFill>
            </c:spPr>
          </c:dPt>
          <c:dPt>
            <c:idx val="1"/>
            <c:invertIfNegative val="0"/>
            <c:spPr>
              <a:solidFill>
                <a:srgbClr val="00B388"/>
              </a:solidFill>
            </c:spPr>
          </c:dPt>
          <c:dPt>
            <c:idx val="2"/>
            <c:invertIfNegative val="0"/>
            <c:spPr>
              <a:solidFill>
                <a:srgbClr val="00B388"/>
              </a:solidFill>
            </c:spPr>
          </c:dPt>
          <c:dLbls>
            <c:numFmt formatCode="General" sourceLinked="1"/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Informe!$E$38:$G$38</c:f>
              <c:numCache/>
            </c:numRef>
          </c:cat>
          <c:val>
            <c:numRef>
              <c:f>Informe!$E$39:$G$39</c:f>
              <c:numCache/>
            </c:numRef>
          </c:val>
        </c:ser>
        <c:gapWidth val="69"/>
        <c:axId val="52233809"/>
        <c:axId val="1711167"/>
      </c:barChart>
      <c:catAx>
        <c:axId val="522338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11167"/>
        <c:crosses val="autoZero"/>
        <c:auto val="1"/>
        <c:lblOffset val="100"/>
        <c:noMultiLvlLbl val="0"/>
      </c:catAx>
      <c:valAx>
        <c:axId val="1711167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52233809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  <a:latin typeface="Calibri Light"/>
          <a:ea typeface="Calibri Light"/>
          <a:cs typeface="Calibri Light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152400</xdr:colOff>
      <xdr:row>31</xdr:row>
      <xdr:rowOff>152400</xdr:rowOff>
    </xdr:from>
    <xdr:to>
      <xdr:col>10</xdr:col>
      <xdr:colOff>476250</xdr:colOff>
      <xdr:row>46</xdr:row>
      <xdr:rowOff>142875</xdr:rowOff>
    </xdr:to>
    <xdr:graphicFrame macro="">
      <xdr:nvGraphicFramePr>
        <xdr:cNvPr id="1" name="2 Gráfico"/>
        <xdr:cNvGraphicFramePr/>
      </xdr:nvGraphicFramePr>
      <xdr:xfrm>
        <a:off x="866775" y="7391400"/>
        <a:ext cx="11953875" cy="24193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114300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103917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Remanente de Tesorería</a:t>
          </a:r>
        </a:p>
      </xdr:txBody>
    </xdr:sp>
    <xdr:clientData/>
  </xdr:twoCellAnchor>
  <xdr:twoCellAnchor editAs="oneCell">
    <xdr:from>
      <xdr:col>10</xdr:col>
      <xdr:colOff>38100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110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39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3.71428571428571" style="114" customWidth="1"/>
    <col min="3" max="3" width="2.14285714285714" style="114" bestFit="1" customWidth="1"/>
    <col min="4" max="4" width="58.7142857142857" style="114" customWidth="1"/>
    <col min="5" max="7" width="20.7142857142857" style="114" customWidth="1"/>
    <col min="8" max="8" width="6.71428571428571" style="114" customWidth="1"/>
    <col min="9" max="10" width="20.7142857142857" style="114" customWidth="1"/>
    <col min="11" max="11" width="6.71428571428571" style="114" customWidth="1"/>
    <col min="12" max="12" width="10.7142857142857" style="114"/>
    <col min="13" max="16384" width="9.14285714285714" style="114"/>
  </cols>
  <sheetData>
    <row r="2" spans="2:12" ht="41" customHeigh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t="s">
        <v>69</v>
      </c>
    </row>
    <row r="3" spans="2:12" ht="12.75" customHeight="1">
      <c r="B3" s="121" t="s">
        <v>91</v>
      </c>
      <c r="C3" s="114"/>
      <c r="D3" s="114"/>
      <c r="E3" s="114"/>
      <c r="F3" s="114"/>
      <c r="G3" s="114"/>
      <c r="H3" s="114"/>
      <c r="I3" s="114"/>
      <c r="J3" s="114"/>
      <c r="K3" s="114"/>
      <c r="L3"/>
    </row>
    <row r="4" spans="2:12" ht="30" customHeight="1" thickBot="1">
      <c r="B4" s="125" t="s">
        <v>90</v>
      </c>
      <c r="C4" s="114"/>
      <c r="D4" s="114"/>
      <c r="E4" s="114"/>
      <c r="F4" s="114"/>
      <c r="G4" s="114"/>
      <c r="H4" s="114"/>
      <c r="I4" s="114"/>
      <c r="J4" s="114"/>
      <c r="K4" s="114"/>
      <c r="L4"/>
    </row>
    <row r="5" spans="2:12" ht="25" customHeight="1">
      <c r="B5" s="124" t="s">
        <v>32</v>
      </c>
      <c r="C5" s="126"/>
      <c r="D5" s="126"/>
      <c r="E5" s="126"/>
      <c r="F5" s="126"/>
      <c r="G5" s="126"/>
      <c r="H5" s="126"/>
      <c r="I5" s="126"/>
      <c r="J5" s="126"/>
      <c r="K5" s="126"/>
      <c r="L5"/>
    </row>
    <row r="6" spans="2:12" ht="40" customHeight="1">
      <c r="B6" s="120" t="s">
        <v>63</v>
      </c>
      <c r="C6" s="114"/>
      <c r="D6" s="114"/>
      <c r="E6" s="114"/>
      <c r="F6" s="114"/>
      <c r="G6" s="114"/>
      <c r="H6" s="114"/>
      <c r="I6" s="114"/>
      <c r="J6" s="114"/>
      <c r="K6" s="114"/>
      <c r="L6"/>
    </row>
    <row r="7" spans="2:12" ht="15" customHeight="1">
      <c r="B7" s="77"/>
      <c r="C7" s="77"/>
      <c r="D7" s="77"/>
      <c r="E7" s="78">
        <f>Ctxt.ML.Anio3</f>
        <v>2018</v>
      </c>
      <c r="F7" s="79">
        <f>Ctxt.ML.Anio2</f>
        <v>2019</v>
      </c>
      <c r="G7" s="80"/>
      <c r="H7" s="81"/>
      <c r="I7" s="78">
        <f>Ctxt.ML.Anio1</f>
        <v>2020</v>
      </c>
      <c r="J7" s="78"/>
      <c r="K7" s="78"/>
      <c r="L7"/>
    </row>
    <row r="8" spans="2:12" ht="15" customHeight="1">
      <c r="B8" s="82"/>
      <c r="C8" s="83"/>
      <c r="D8" s="84" t="s">
        <v>0</v>
      </c>
      <c r="E8" s="85" t="s">
        <v>1</v>
      </c>
      <c r="F8" s="85" t="s">
        <v>1</v>
      </c>
      <c r="G8" s="85" t="s">
        <v>2</v>
      </c>
      <c r="H8" s="85"/>
      <c r="I8" s="85" t="s">
        <v>1</v>
      </c>
      <c r="J8" s="85" t="s">
        <v>2</v>
      </c>
      <c r="K8" s="85"/>
      <c r="L8"/>
    </row>
    <row r="9" spans="2:12" ht="15" customHeight="1">
      <c r="B9" s="86" t="s">
        <v>3</v>
      </c>
      <c r="C9" s="87"/>
      <c r="D9" s="88" t="s">
        <v>4</v>
      </c>
      <c r="E9" s="89">
        <f>E10+E11+E12</f>
        <v>30943770.399999999</v>
      </c>
      <c r="F9" s="89">
        <f>F10+F11+F12</f>
        <v>30097473.449999999</v>
      </c>
      <c r="G9" s="89">
        <f>F9-E9</f>
        <v>-846296.94999999925</v>
      </c>
      <c r="H9" s="90">
        <f>IFERROR(G9/E9,0)</f>
        <v>-0.027349509741708765</v>
      </c>
      <c r="I9" s="89">
        <f>I10+I11+I12</f>
        <v>33382146.449999999</v>
      </c>
      <c r="J9" s="89">
        <f>I9-F9</f>
        <v>3284673</v>
      </c>
      <c r="K9" s="91">
        <f>IFERROR(J9/F9,0)</f>
        <v>0.10913450942839856</v>
      </c>
      <c r="L9"/>
    </row>
    <row r="10" spans="2:12" ht="15" customHeight="1">
      <c r="B10" s="92"/>
      <c r="C10" s="93" t="s">
        <v>3</v>
      </c>
      <c r="D10" s="93" t="s">
        <v>5</v>
      </c>
      <c r="E10" s="94">
        <f>Rem.DeudoresPendientesCobroCorriente.Mun.Anio3</f>
        <v>9995325.0099999998</v>
      </c>
      <c r="F10" s="94">
        <f>Rem.DeudoresPendientesCobroCorriente.Mun.Anio2</f>
        <v>9096955.4499999993</v>
      </c>
      <c r="G10" s="95">
        <f>F10-E10</f>
        <v>-898369.56000000052</v>
      </c>
      <c r="H10" s="96">
        <f>IFERROR(G10/E10,0)</f>
        <v>-0.089878974330620642</v>
      </c>
      <c r="I10" s="94">
        <f>Rem.DeudoresPendientesCobroCorriente.Mun.Anio1</f>
        <v>9413658.2699999996</v>
      </c>
      <c r="J10" s="95">
        <f>I10-F10</f>
        <v>316702.8200000003</v>
      </c>
      <c r="K10" s="96">
        <f>IFERROR(J10/F10,0)</f>
        <v>0.034814155322701983</v>
      </c>
      <c r="L10"/>
    </row>
    <row r="11" spans="2:12" ht="15" customHeight="1">
      <c r="B11" s="92"/>
      <c r="C11" s="93" t="s">
        <v>3</v>
      </c>
      <c r="D11" s="93" t="s">
        <v>6</v>
      </c>
      <c r="E11" s="94">
        <f>Rem.DeudoresPendientesCobroCerrados.Mun.Anio3</f>
        <v>20123411.460000001</v>
      </c>
      <c r="F11" s="94">
        <f>Rem.DeudoresPendientesCobroCerrados.Mun.Anio2</f>
        <v>20144857.77</v>
      </c>
      <c r="G11" s="95">
        <f>F11-E11</f>
        <v>21446.309999998659</v>
      </c>
      <c r="H11" s="96">
        <f>IFERROR(G11/E11,0)</f>
        <v>0.0010657392779861521</v>
      </c>
      <c r="I11" s="94">
        <f>Rem.DeudoresPendientesCobroCerrados.Mun.Anio1</f>
        <v>23061640.579999998</v>
      </c>
      <c r="J11" s="95">
        <f>I11-F11</f>
        <v>2916782.8099999987</v>
      </c>
      <c r="K11" s="96">
        <f>IFERROR(J11/F11,0)</f>
        <v>0.14479043949090134</v>
      </c>
      <c r="L11"/>
    </row>
    <row r="12" spans="2:12" ht="15" customHeight="1">
      <c r="B12" s="92"/>
      <c r="C12" s="93" t="s">
        <v>3</v>
      </c>
      <c r="D12" s="93" t="s">
        <v>7</v>
      </c>
      <c r="E12" s="94">
        <f>Rem.DeudoresPendientesCobroOtras.Mun.Anio3</f>
        <v>825033.93000000005</v>
      </c>
      <c r="F12" s="94">
        <f>Rem.DeudoresPendientesCobroOtras.Mun.Anio2</f>
        <v>855660.22999999998</v>
      </c>
      <c r="G12" s="95">
        <f>F12-E12</f>
        <v>30626.29999999993</v>
      </c>
      <c r="H12" s="96">
        <f>IFERROR(G12/E12,0)</f>
        <v>0.037121261182555154</v>
      </c>
      <c r="I12" s="94">
        <f>Rem.DeudoresPendientesCobroOtras.Mun.Anio1</f>
        <v>906847.59999999998</v>
      </c>
      <c r="J12" s="95">
        <f>I12-F12</f>
        <v>51187.369999999995</v>
      </c>
      <c r="K12" s="96">
        <f>IFERROR(J12/F12,0)</f>
        <v>0.059822074469909621</v>
      </c>
      <c r="L12"/>
    </row>
    <row r="13" spans="2:12" ht="15" customHeight="1">
      <c r="B13" s="86" t="s">
        <v>8</v>
      </c>
      <c r="C13" s="87"/>
      <c r="D13" s="88" t="s">
        <v>9</v>
      </c>
      <c r="E13" s="89">
        <f>E14+E15+E16</f>
        <v>23734564.41</v>
      </c>
      <c r="F13" s="89">
        <f>F14+F15+F16</f>
        <v>22169221.859999999</v>
      </c>
      <c r="G13" s="89">
        <f>F13-E13</f>
        <v>-1565342.5500000007</v>
      </c>
      <c r="H13" s="90">
        <f>IFERROR(G13/E13,0)</f>
        <v>-0.065952023511351252</v>
      </c>
      <c r="I13" s="89">
        <f>I14+I15+I16</f>
        <v>15893018.32</v>
      </c>
      <c r="J13" s="89">
        <f>I13-F13</f>
        <v>-6276203.5399999991</v>
      </c>
      <c r="K13" s="91">
        <f>IFERROR(J13/F13,0)</f>
        <v>-0.2831043678318802</v>
      </c>
      <c r="L13"/>
    </row>
    <row r="14" spans="2:12" ht="15" customHeight="1">
      <c r="B14" s="92"/>
      <c r="C14" s="93" t="s">
        <v>3</v>
      </c>
      <c r="D14" s="93" t="s">
        <v>5</v>
      </c>
      <c r="E14" s="94">
        <f>Rem.AcreedoresPendientesPagoCorriente.Mun.Anio3</f>
        <v>6584754.2999999998</v>
      </c>
      <c r="F14" s="94">
        <f>Rem.AcreedoresPendientesPagoCorriente.Mun.Anio2</f>
        <v>6868323.1799999997</v>
      </c>
      <c r="G14" s="95">
        <f>F14-E14</f>
        <v>283568.87999999989</v>
      </c>
      <c r="H14" s="96">
        <f>IFERROR(G14/E14,0)</f>
        <v>0.043064458760443028</v>
      </c>
      <c r="I14" s="94">
        <f>Rem.AcreedoresPendientesPagoCorriente.Mun.Anio1</f>
        <v>8910541.8699999992</v>
      </c>
      <c r="J14" s="95">
        <f>I14-F14</f>
        <v>2042218.6899999995</v>
      </c>
      <c r="K14" s="96">
        <f>IFERROR(J14/F14,0)</f>
        <v>0.29733875889049233</v>
      </c>
      <c r="L14"/>
    </row>
    <row r="15" spans="2:12" ht="15" customHeight="1">
      <c r="B15" s="92"/>
      <c r="C15" s="93" t="s">
        <v>3</v>
      </c>
      <c r="D15" s="93" t="s">
        <v>6</v>
      </c>
      <c r="E15" s="94">
        <f>Rem.AcreedoresPendientesPagoCerrados.Mun.Anio3</f>
        <v>12926546.539999999</v>
      </c>
      <c r="F15" s="94">
        <f>Rem.AcreedoresPendientesPagoCerrados.Mun.Anio2</f>
        <v>11029473.51</v>
      </c>
      <c r="G15" s="95">
        <f>F15-E15</f>
        <v>-1897073.0299999993</v>
      </c>
      <c r="H15" s="96">
        <f>IFERROR(G15/E15,0)</f>
        <v>-0.14675791590040563</v>
      </c>
      <c r="I15" s="94">
        <f>Rem.AcreedoresPendientesPagoCerrados.Mun.Anio1</f>
        <v>870502.31000000006</v>
      </c>
      <c r="J15" s="95">
        <f>I15-F15</f>
        <v>-10158971.199999999</v>
      </c>
      <c r="K15" s="96">
        <f>IFERROR(J15/F15,0)</f>
        <v>-0.92107489906832363</v>
      </c>
      <c r="L15"/>
    </row>
    <row r="16" spans="2:12" ht="15" customHeight="1">
      <c r="B16" s="92"/>
      <c r="C16" s="93" t="s">
        <v>3</v>
      </c>
      <c r="D16" s="93" t="s">
        <v>7</v>
      </c>
      <c r="E16" s="94">
        <f>Rem.AcreedoresPendientesPagoOtras.Mun.Anio3</f>
        <v>4223263.5700000003</v>
      </c>
      <c r="F16" s="94">
        <f>Rem.AcreedoresPendientesPagoOtras.Mun.Anio2</f>
        <v>4271425.1699999999</v>
      </c>
      <c r="G16" s="95">
        <f>F16-E16</f>
        <v>48161.599999999627</v>
      </c>
      <c r="H16" s="96">
        <f>IFERROR(G16/E16,0)</f>
        <v>0.011403882140370325</v>
      </c>
      <c r="I16" s="94">
        <f>Rem.AcreedoresPendientesPagoOtras.Mun.Anio1</f>
        <v>6111974.1399999997</v>
      </c>
      <c r="J16" s="95">
        <f>I16-F16</f>
        <v>1840548.9699999997</v>
      </c>
      <c r="K16" s="96">
        <f>IFERROR(J16/F16,0)</f>
        <v>0.4308980953071454</v>
      </c>
      <c r="L16"/>
    </row>
    <row r="17" spans="2:12" ht="15" customHeight="1">
      <c r="B17" s="86" t="s">
        <v>3</v>
      </c>
      <c r="C17" s="87"/>
      <c r="D17" s="88" t="s">
        <v>10</v>
      </c>
      <c r="E17" s="89">
        <f>-E18+E19</f>
        <v>730647.87</v>
      </c>
      <c r="F17" s="89">
        <f>-F18+F19</f>
        <v>833814</v>
      </c>
      <c r="G17" s="89">
        <f>F17-E17</f>
        <v>103166.13</v>
      </c>
      <c r="H17" s="90">
        <f>IFERROR(G17/E17,0)</f>
        <v>0.14119815335942881</v>
      </c>
      <c r="I17" s="89">
        <f>-I18+I19</f>
        <v>777018.88</v>
      </c>
      <c r="J17" s="89">
        <f>I17-F17</f>
        <v>-56795.119999999995</v>
      </c>
      <c r="K17" s="91">
        <f>IFERROR(J17/F17,0)</f>
        <v>-0.068114855351433287</v>
      </c>
      <c r="L17"/>
    </row>
    <row r="18" spans="2:12" ht="15" customHeight="1">
      <c r="B18" s="92"/>
      <c r="C18" s="93" t="s">
        <v>8</v>
      </c>
      <c r="D18" s="93" t="s">
        <v>11</v>
      </c>
      <c r="E18" s="94">
        <f>Rem.PartidasPendientesAplicacionIngresos.Mun.Anio3</f>
        <v>172026.22</v>
      </c>
      <c r="F18" s="94">
        <f>Rem.PartidasPendientesAplicacionIngresos.Mun.Anio2</f>
        <v>192183.89999999999</v>
      </c>
      <c r="G18" s="95">
        <f>F18-E18</f>
        <v>20157.679999999993</v>
      </c>
      <c r="H18" s="96">
        <f>IFERROR(G18/E18,0)</f>
        <v>0.11717795112861279</v>
      </c>
      <c r="I18" s="94">
        <f>Rem.PartidasPendientesAplicacionIngresos.Mun.Anio1</f>
        <v>319820.09999999998</v>
      </c>
      <c r="J18" s="95">
        <f>I18-F18</f>
        <v>127636.19999999998</v>
      </c>
      <c r="K18" s="96">
        <f>IFERROR(J18/F18,0)</f>
        <v>0.66413575746979836</v>
      </c>
      <c r="L18"/>
    </row>
    <row r="19" spans="2:12" ht="15" customHeight="1">
      <c r="B19" s="92"/>
      <c r="C19" s="93" t="s">
        <v>3</v>
      </c>
      <c r="D19" s="93" t="s">
        <v>12</v>
      </c>
      <c r="E19" s="94">
        <f>Rem.PartidasPendientesAplicacionGastos.Mun.Anio3</f>
        <v>902674.08999999997</v>
      </c>
      <c r="F19" s="94">
        <f>Rem.PartidasPendientesAplicacionGastos.Mun.Anio2</f>
        <v>1025997.9</v>
      </c>
      <c r="G19" s="95">
        <f>F19-E19</f>
        <v>123323.81000000006</v>
      </c>
      <c r="H19" s="96">
        <f>IFERROR(G19/E19,0)</f>
        <v>0.13662052712734898</v>
      </c>
      <c r="I19" s="94">
        <f>Rem.PartidasPendientesAplicacionGastos.Mun.Anio1</f>
        <v>1096838.98</v>
      </c>
      <c r="J19" s="95">
        <f>I19-F19</f>
        <v>70841.079999999958</v>
      </c>
      <c r="K19" s="96">
        <f>IFERROR(J19/F19,0)</f>
        <v>0.069046028261851175</v>
      </c>
      <c r="L19"/>
    </row>
    <row r="20" spans="2:12" ht="15" customHeight="1">
      <c r="B20" s="86" t="s">
        <v>3</v>
      </c>
      <c r="C20" s="87"/>
      <c r="D20" s="88" t="s">
        <v>13</v>
      </c>
      <c r="E20" s="89">
        <f>Rem.FondosLiquidos.Mun.Anio3</f>
        <v>56678224.280000001</v>
      </c>
      <c r="F20" s="89">
        <f>Rem.FondosLiquidos.Mun.Anio2</f>
        <v>48281848.990000002</v>
      </c>
      <c r="G20" s="89">
        <f>F20-E20</f>
        <v>-8396375.2899999991</v>
      </c>
      <c r="H20" s="90">
        <f>IFERROR(G20/E20,0)</f>
        <v>-0.14814111409913774</v>
      </c>
      <c r="I20" s="89">
        <f>Rem.FondosLiquidos.Mun.Anio1</f>
        <v>28223280.879999999</v>
      </c>
      <c r="J20" s="89">
        <f>I20-F20</f>
        <v>-20058568.110000003</v>
      </c>
      <c r="K20" s="91">
        <f>IFERROR(J20/F20,0)</f>
        <v>-0.41544738922808189</v>
      </c>
      <c r="L20"/>
    </row>
    <row r="21" spans="2:12" ht="15" customHeight="1">
      <c r="B21" s="86" t="s">
        <v>14</v>
      </c>
      <c r="C21" s="97"/>
      <c r="D21" s="98" t="s">
        <v>15</v>
      </c>
      <c r="E21" s="99">
        <f>E9+E17+E20-E13</f>
        <v>64618078.140000001</v>
      </c>
      <c r="F21" s="99">
        <f>F9+F17+F20-F13</f>
        <v>57043914.579999998</v>
      </c>
      <c r="G21" s="99">
        <f>F21-E21</f>
        <v>-7574163.5600000024</v>
      </c>
      <c r="H21" s="100">
        <f>IFERROR(G21/E21,0)</f>
        <v>-0.11721431181518582</v>
      </c>
      <c r="I21" s="99">
        <f>I9+I17+I20-I13</f>
        <v>46489427.889999993</v>
      </c>
      <c r="J21" s="99">
        <f>I21-F21</f>
        <v>-10554486.690000005</v>
      </c>
      <c r="K21" s="100">
        <f>IFERROR(J21/F21,0)</f>
        <v>-0.18502388497896818</v>
      </c>
      <c r="L21"/>
    </row>
    <row r="22" spans="2:12" ht="15" customHeight="1">
      <c r="B22" s="86" t="s">
        <v>8</v>
      </c>
      <c r="C22" s="101"/>
      <c r="D22" s="101" t="s">
        <v>16</v>
      </c>
      <c r="E22" s="94">
        <f>Rem.SaldoDudosoCobro.Mun.Anio3</f>
        <v>21550855.09</v>
      </c>
      <c r="F22" s="94">
        <f>Rem.SaldoDudosoCobro.Mun.Anio2</f>
        <v>21755455.170000002</v>
      </c>
      <c r="G22" s="95">
        <f>F22-E22</f>
        <v>204600.08000000194</v>
      </c>
      <c r="H22" s="96">
        <f>IFERROR(G22/E22,0)</f>
        <v>0.0094938265393905517</v>
      </c>
      <c r="I22" s="94">
        <f>Rem.SaldoDudosoCobro.Mun.Anio1</f>
        <v>25131729.850000001</v>
      </c>
      <c r="J22" s="95">
        <f>I22-F22</f>
        <v>3376274.6799999997</v>
      </c>
      <c r="K22" s="96">
        <f>IFERROR(J22/F22,0)</f>
        <v>0.15519209566599931</v>
      </c>
      <c r="L22"/>
    </row>
    <row r="23" spans="2:12" ht="15" customHeight="1">
      <c r="B23" s="86" t="s">
        <v>8</v>
      </c>
      <c r="C23" s="101"/>
      <c r="D23" s="101" t="s">
        <v>17</v>
      </c>
      <c r="E23" s="94">
        <f>Rem.ExcesoFinanciacionAfectada.Mun.Anio3</f>
        <v>11053490.890000001</v>
      </c>
      <c r="F23" s="94">
        <f>Rem.ExcesoFinanciacionAfectada.Mun.Anio2</f>
        <v>8710951.9499999993</v>
      </c>
      <c r="G23" s="95">
        <f>F23-E23</f>
        <v>-2342538.9400000013</v>
      </c>
      <c r="H23" s="96">
        <f>IFERROR(G23/E23,0)</f>
        <v>-0.21192752256386951</v>
      </c>
      <c r="I23" s="94">
        <f>Rem.ExcesoFinanciacionAfectada.Mun.Anio1</f>
        <v>12688224.449999999</v>
      </c>
      <c r="J23" s="95">
        <f>I23-F23</f>
        <v>3977272.5</v>
      </c>
      <c r="K23" s="96">
        <f>IFERROR(J23/F23,0)</f>
        <v>0.45658299148349685</v>
      </c>
      <c r="L23"/>
    </row>
    <row r="24" spans="2:12" ht="15" customHeight="1">
      <c r="B24" s="86" t="s">
        <v>14</v>
      </c>
      <c r="C24" s="83"/>
      <c r="D24" s="84" t="s">
        <v>18</v>
      </c>
      <c r="E24" s="102">
        <f>E21-E22-E23</f>
        <v>32013732.159999996</v>
      </c>
      <c r="F24" s="102">
        <f>F21-F22-F23</f>
        <v>26577507.459999997</v>
      </c>
      <c r="G24" s="102">
        <f>F24-E24</f>
        <v>-5436224.6999999993</v>
      </c>
      <c r="H24" s="103">
        <f>IFERROR(G24/E24,0)</f>
        <v>-0.16980915167374225</v>
      </c>
      <c r="I24" s="102">
        <f>I21-I22-I23</f>
        <v>8669473.5899999924</v>
      </c>
      <c r="J24" s="102">
        <f>I24-F24</f>
        <v>-17908033.870000005</v>
      </c>
      <c r="K24" s="103">
        <f>IFERROR(J24/F24,0)</f>
        <v>-0.67380411413493801</v>
      </c>
      <c r="L24"/>
    </row>
    <row r="25" spans="2:12" ht="30" customHeight="1">
      <c r="B25" s="86" t="s">
        <v>8</v>
      </c>
      <c r="C25" s="101"/>
      <c r="D25" s="104" t="s">
        <v>19</v>
      </c>
      <c r="E25" s="94">
        <f>Rem.SaldoObligacionesPendientes31.Mun.Anio3</f>
        <v>8931340.7300000004</v>
      </c>
      <c r="F25" s="94">
        <f>Rem.SaldoObligacionesPendientes31.Mun.Anio2</f>
        <v>7798962.4100000001</v>
      </c>
      <c r="G25" s="95">
        <f>F25-E25</f>
        <v>-1132378.3200000003</v>
      </c>
      <c r="H25" s="96">
        <f>IFERROR(G25/E25,0)</f>
        <v>-0.1267870473462499</v>
      </c>
      <c r="I25" s="94">
        <f>Rem.SaldoObligacionesPendientes31.Mun.Anio1</f>
        <v>1922710.79</v>
      </c>
      <c r="J25" s="95">
        <f>I25-F25</f>
        <v>-5876251.6200000001</v>
      </c>
      <c r="K25" s="96">
        <f>IFERROR(J25/F25,0)</f>
        <v>-0.75346582161562181</v>
      </c>
      <c r="L25"/>
    </row>
    <row r="26" spans="2:12" ht="30" customHeight="1">
      <c r="B26" s="86" t="s">
        <v>8</v>
      </c>
      <c r="C26" s="101"/>
      <c r="D26" s="104" t="s">
        <v>20</v>
      </c>
      <c r="E26" s="94">
        <f>Rem.SaldoObligacionesDevolucionIngresosPendientes31.Mun.Anio3</f>
        <v>80580.25</v>
      </c>
      <c r="F26" s="94">
        <f>Rem.SaldoObligacionesDevolucionIngresosPendientes31.Mun.Anio2</f>
        <v>188910.73999999999</v>
      </c>
      <c r="G26" s="95">
        <f>F26-E26</f>
        <v>108330.48999999999</v>
      </c>
      <c r="H26" s="96">
        <f>IFERROR(G26/E26,0)</f>
        <v>1.3443801675968987</v>
      </c>
      <c r="I26" s="94">
        <f>Rem.SaldoObligacionesDevolucionIngresosPendientes31.Mun.Anio1</f>
        <v>232437.45999999999</v>
      </c>
      <c r="J26" s="95">
        <f>I26-F26</f>
        <v>43526.720000000001</v>
      </c>
      <c r="K26" s="96">
        <f>IFERROR(J26/F26,0)</f>
        <v>0.23040892222432671</v>
      </c>
      <c r="L26"/>
    </row>
    <row r="27" spans="2:12" ht="15" customHeight="1">
      <c r="B27" s="105" t="s">
        <v>14</v>
      </c>
      <c r="C27" s="106"/>
      <c r="D27" s="107" t="s">
        <v>21</v>
      </c>
      <c r="E27" s="108">
        <f>E24-E25-E26</f>
        <v>23001811.179999996</v>
      </c>
      <c r="F27" s="108">
        <f>F24-F25-F26</f>
        <v>18589634.309999999</v>
      </c>
      <c r="G27" s="108">
        <f>F27-E27</f>
        <v>-4412176.8699999973</v>
      </c>
      <c r="H27" s="109">
        <f>IFERROR(G27/E27,0)</f>
        <v>-0.1918186718199118</v>
      </c>
      <c r="I27" s="108">
        <f>I24-I25-I26</f>
        <v>6514325.3399999924</v>
      </c>
      <c r="J27" s="108">
        <f>I27-F27</f>
        <v>-12075308.970000006</v>
      </c>
      <c r="K27" s="109">
        <f>IFERROR(J27/F27,0)</f>
        <v>-0.64957216310082466</v>
      </c>
      <c r="L27"/>
    </row>
    <row r="28" spans="2:12" ht="15" customHeight="1">
      <c r="B28" s="110"/>
      <c r="C28" s="111"/>
      <c r="D28" s="112" t="s">
        <v>22</v>
      </c>
      <c r="E28" s="113">
        <f>E27/SUM(Liq.Ing.Cap1.Mun.Anio3+Liq.Ing.Cap2.Mun.Anio3+Liq.Ing.Cap3.Mun.Anio3+Liq.Ing.Cap4.Mun.Anio3+Liq.Ing.Cap5.Mun.Anio3)</f>
        <v>0.24457980594054834</v>
      </c>
      <c r="F28" s="113">
        <f>F27/SUM(Liq.Ing.Cap1.Mun.Anio2+Liq.Ing.Cap2.Mun.Anio2+Liq.Ing.Cap3.Mun.Anio2+Liq.Ing.Cap4.Mun.Anio2+Liq.Ing.Cap5.Mun.Anio2)</f>
        <v>0.19983138158612343</v>
      </c>
      <c r="G28" s="113">
        <f>F28-E28</f>
        <v>-0.044748424354424915</v>
      </c>
      <c r="H28" s="90">
        <f>IFERROR(G28/E28,0)</f>
        <v>-0.1829604213738816</v>
      </c>
      <c r="I28" s="113">
        <f>I27/SUM(Liq.Ing.Cap1.Mun.Anio1+Liq.Ing.Cap2.Mun.Anio1+Liq.Ing.Cap3.Mun.Anio1+Liq.Ing.Cap4.Mun.Anio1+Liq.Ing.Cap5.Mun.Anio1)</f>
        <v>0.076151868093973618</v>
      </c>
      <c r="J28" s="113">
        <f>I28-F28</f>
        <v>-0.12367951349214981</v>
      </c>
      <c r="K28" s="91">
        <f>IFERROR(J28/F28,0)</f>
        <v>-0.61891937347611414</v>
      </c>
      <c r="L28"/>
    </row>
    <row r="29" spans="2:12" ht="12.75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/>
    </row>
    <row r="30" spans="2:12" ht="12.75" customHeight="1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/>
    </row>
    <row r="31" spans="2:12" ht="24" thickBot="1">
      <c r="B31" s="116" t="s">
        <v>23</v>
      </c>
      <c r="C31" s="116"/>
      <c r="D31" s="116"/>
      <c r="E31" s="116"/>
      <c r="F31" s="116"/>
      <c r="G31" s="116"/>
      <c r="H31" s="116"/>
      <c r="I31" s="116"/>
      <c r="J31" s="116"/>
      <c r="K31" s="116"/>
      <c r="L31"/>
    </row>
    <row r="32" spans="2:12" ht="12.75">
      <c r="B32" s="117"/>
      <c r="C32" s="117"/>
      <c r="D32" s="117"/>
      <c r="E32" s="114"/>
      <c r="F32" s="114"/>
      <c r="G32" s="114"/>
      <c r="H32" s="114"/>
      <c r="I32" s="114"/>
      <c r="J32" s="114"/>
      <c r="K32" s="114"/>
      <c r="L32"/>
    </row>
    <row r="33" spans="2:12" ht="12.75">
      <c r="B33" s="117"/>
      <c r="C33" s="117"/>
      <c r="D33" s="114"/>
      <c r="E33" s="114"/>
      <c r="F33" s="114"/>
      <c r="G33" s="114"/>
      <c r="H33" s="114"/>
      <c r="I33" s="114"/>
      <c r="J33" s="114"/>
      <c r="K33" s="114"/>
      <c r="L33"/>
    </row>
    <row r="34" spans="2:12" ht="12.75">
      <c r="B34" s="117"/>
      <c r="C34" s="117"/>
      <c r="D34" s="114"/>
      <c r="E34" s="114"/>
      <c r="F34" s="114"/>
      <c r="G34" s="114"/>
      <c r="H34" s="114"/>
      <c r="I34" s="114"/>
      <c r="J34" s="114"/>
      <c r="K34" s="114"/>
      <c r="L34"/>
    </row>
    <row r="35" spans="2:12" ht="12.75">
      <c r="B35" s="117"/>
      <c r="C35" s="117"/>
      <c r="D35" s="114"/>
      <c r="E35" s="114"/>
      <c r="F35" s="114"/>
      <c r="G35" s="114"/>
      <c r="H35" s="114"/>
      <c r="I35" s="114"/>
      <c r="J35" s="114"/>
      <c r="K35" s="114"/>
      <c r="L35"/>
    </row>
    <row r="36" spans="2:12" ht="12.75">
      <c r="B36" s="117"/>
      <c r="C36" s="117"/>
      <c r="D36" s="114"/>
      <c r="E36" s="114"/>
      <c r="F36" s="114"/>
      <c r="G36" s="114"/>
      <c r="H36" s="114"/>
      <c r="I36" s="114"/>
      <c r="J36" s="114"/>
      <c r="K36" s="114"/>
      <c r="L36"/>
    </row>
    <row r="37" spans="2:12" ht="12.75">
      <c r="B37" s="117"/>
      <c r="C37" s="117"/>
      <c r="D37" s="114"/>
      <c r="E37" s="114"/>
      <c r="F37" s="114"/>
      <c r="G37" s="114"/>
      <c r="H37" s="114"/>
      <c r="I37" s="114"/>
      <c r="J37" s="114"/>
      <c r="K37" s="114"/>
      <c r="L37"/>
    </row>
    <row r="38" spans="2:12" ht="12.75">
      <c r="B38" s="117"/>
      <c r="C38" s="117"/>
      <c r="D38" s="114"/>
      <c r="E38" s="118">
        <f>E7</f>
        <v>2018</v>
      </c>
      <c r="F38" s="118">
        <f>F7</f>
        <v>2019</v>
      </c>
      <c r="G38" s="118">
        <f>I7</f>
        <v>2020</v>
      </c>
      <c r="H38" s="114"/>
      <c r="I38" s="114"/>
      <c r="J38" s="114"/>
      <c r="K38" s="114"/>
      <c r="L38"/>
    </row>
    <row r="39" spans="2:12" ht="12.75">
      <c r="B39" s="117"/>
      <c r="C39" s="117"/>
      <c r="D39" s="114"/>
      <c r="E39" s="119">
        <f>E24</f>
        <v>32013732.159999996</v>
      </c>
      <c r="F39" s="119">
        <f>F24</f>
        <v>26577507.459999997</v>
      </c>
      <c r="G39" s="119">
        <f>I24</f>
        <v>8669473.5899999924</v>
      </c>
      <c r="H39" s="114"/>
      <c r="I39" s="114"/>
      <c r="J39" s="114"/>
      <c r="K39" s="114"/>
      <c r="L39"/>
    </row>
  </sheetData>
  <mergeCells count="8">
    <mergeCell ref="B31:K31"/>
    <mergeCell ref="F7:H7"/>
    <mergeCell ref="I7:K7"/>
    <mergeCell ref="J8:K8"/>
    <mergeCell ref="G8:H8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L39" numberStoredAsText="1"/>
    <ignoredError sqref="A1:L3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24</v>
      </c>
      <c r="B1" s="2"/>
      <c r="E1" s="3" t="s">
        <v>25</v>
      </c>
      <c r="F1" s="3" t="s">
        <v>26</v>
      </c>
      <c r="G1" s="4" t="s">
        <v>27</v>
      </c>
      <c r="H1" s="4"/>
      <c r="I1" s="5"/>
      <c r="J1" s="6" t="s">
        <v>28</v>
      </c>
      <c r="K1" s="6"/>
      <c r="L1" s="7"/>
      <c r="M1" s="8" t="s">
        <v>29</v>
      </c>
      <c r="N1" s="8"/>
      <c r="O1" s="9"/>
      <c r="P1" s="10" t="s">
        <v>30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31</v>
      </c>
      <c r="B3" s="18" t="s">
        <v>68</v>
      </c>
      <c r="D3" s="19" t="s">
        <v>33</v>
      </c>
      <c r="E3" s="20"/>
      <c r="F3" s="21" t="s">
        <v>34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35</v>
      </c>
      <c r="B4" s="26" t="s">
        <v>64</v>
      </c>
      <c r="E4" s="27"/>
      <c r="F4" s="27" t="s">
        <v>37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38</v>
      </c>
      <c r="B5" s="26" t="s">
        <v>63</v>
      </c>
      <c r="D5" s="19" t="s">
        <v>40</v>
      </c>
      <c r="E5" s="31" t="s">
        <v>58</v>
      </c>
      <c r="F5" s="32" t="s">
        <v>72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43</v>
      </c>
      <c r="B6" s="26">
        <v>2020</v>
      </c>
      <c r="E6" s="31" t="s">
        <v>54</v>
      </c>
      <c r="F6" s="32" t="s">
        <v>71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46</v>
      </c>
      <c r="B7" s="26">
        <v>2019</v>
      </c>
      <c r="E7" s="31" t="s">
        <v>51</v>
      </c>
      <c r="F7" s="36" t="s">
        <v>66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49</v>
      </c>
      <c r="B8" s="26">
        <v>2018</v>
      </c>
      <c r="E8" s="31" t="s">
        <v>48</v>
      </c>
      <c r="F8" s="36" t="s">
        <v>47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52</v>
      </c>
      <c r="B9" s="26" t="s">
        <v>61</v>
      </c>
      <c r="E9" s="31" t="s">
        <v>45</v>
      </c>
      <c r="F9" s="36" t="s">
        <v>36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55</v>
      </c>
      <c r="B10" s="40" t="s">
        <v>67</v>
      </c>
      <c r="E10" s="31" t="s">
        <v>42</v>
      </c>
      <c r="F10" s="36" t="s">
        <v>39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59</v>
      </c>
      <c r="B11" s="42">
        <v>44400</v>
      </c>
      <c r="E11" s="31" t="s">
        <v>78</v>
      </c>
      <c r="F11" s="36" t="s">
        <v>56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62</v>
      </c>
      <c r="B12" s="43">
        <v>2011</v>
      </c>
      <c r="E12" s="31" t="s">
        <v>76</v>
      </c>
      <c r="F12" s="36" t="s">
        <v>92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65</v>
      </c>
      <c r="B13" s="45" t="s">
        <v>60</v>
      </c>
      <c r="E13" s="46" t="s">
        <v>74</v>
      </c>
      <c r="F13" s="47" t="s">
        <v>93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69</v>
      </c>
    </row>
    <row r="14" spans="4:18" ht="15.75" thickBot="1">
      <c r="D14" s="19" t="s">
        <v>70</v>
      </c>
      <c r="E14" s="31" t="s">
        <v>58</v>
      </c>
      <c r="F14" s="32" t="s">
        <v>57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54</v>
      </c>
      <c r="F15" s="36" t="s">
        <v>53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51</v>
      </c>
      <c r="F16" s="36" t="s">
        <v>50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48</v>
      </c>
      <c r="F17" s="36" t="s">
        <v>47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45</v>
      </c>
      <c r="F18" s="36" t="s">
        <v>44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42</v>
      </c>
      <c r="F19" s="36" t="s">
        <v>41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78</v>
      </c>
      <c r="F20" s="36" t="s">
        <v>77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76</v>
      </c>
      <c r="F21" s="36" t="s">
        <v>75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74</v>
      </c>
      <c r="F22" s="47" t="s">
        <v>73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79</v>
      </c>
      <c r="E23" s="55"/>
      <c r="F23" s="56" t="s">
        <v>80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81</v>
      </c>
      <c r="E24" s="60"/>
      <c r="F24" s="61" t="s">
        <v>82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5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7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83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5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7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10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11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12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84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16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17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85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86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87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88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89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